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ТЭПы" sheetId="1" state="visible" r:id="rId1"/>
    <sheet name="Помесячное ДДС" sheetId="2" state="visible" r:id="rId2"/>
  </sheets>
  <calcPr/>
</workbook>
</file>

<file path=xl/sharedStrings.xml><?xml version="1.0" encoding="utf-8"?>
<sst xmlns="http://schemas.openxmlformats.org/spreadsheetml/2006/main" count="55" uniqueCount="55">
  <si>
    <t xml:space="preserve">Финансовая модель. Проект "Ахтари"</t>
  </si>
  <si>
    <t>Количество</t>
  </si>
  <si>
    <t xml:space="preserve">Цена за ед.</t>
  </si>
  <si>
    <t>Стоимость</t>
  </si>
  <si>
    <t>Доходы</t>
  </si>
  <si>
    <t xml:space="preserve">Продажа номеров</t>
  </si>
  <si>
    <t xml:space="preserve">Реализация соинвесторам</t>
  </si>
  <si>
    <t>Кафе</t>
  </si>
  <si>
    <t xml:space="preserve">Расходная часть</t>
  </si>
  <si>
    <t xml:space="preserve">Покупка лота</t>
  </si>
  <si>
    <t xml:space="preserve">Документальное сопровождение и раздел</t>
  </si>
  <si>
    <t>Реновация</t>
  </si>
  <si>
    <t xml:space="preserve">Вознаграждение ген. подрядчика</t>
  </si>
  <si>
    <t xml:space="preserve">Фасад, композитные панели, подсветка</t>
  </si>
  <si>
    <t xml:space="preserve">Наружняя вывеска</t>
  </si>
  <si>
    <t xml:space="preserve">Забор (профлист, освещение, прозрачный забор)</t>
  </si>
  <si>
    <t>Бассейн+СПА</t>
  </si>
  <si>
    <t xml:space="preserve">Территория (брусчатка, МАФы, детская площадка, скамейки)</t>
  </si>
  <si>
    <t xml:space="preserve">Колодцы территория, подключение сетей</t>
  </si>
  <si>
    <t xml:space="preserve">Электричество, межэтажные щиты, разводка, приборы учета</t>
  </si>
  <si>
    <t xml:space="preserve">Вода, разводка, приборы учета</t>
  </si>
  <si>
    <t xml:space="preserve">Дизайн, рендеринг</t>
  </si>
  <si>
    <t xml:space="preserve">Отделка МОПов, входной группы, плитка на балконы</t>
  </si>
  <si>
    <t xml:space="preserve">Двери входные </t>
  </si>
  <si>
    <t xml:space="preserve">Ремонт номеров с сан.узлом</t>
  </si>
  <si>
    <t xml:space="preserve">Слаботочка, интернет, телевидение, пожарка</t>
  </si>
  <si>
    <t>Окна</t>
  </si>
  <si>
    <t xml:space="preserve">Наполнение номеров</t>
  </si>
  <si>
    <t>Клининг</t>
  </si>
  <si>
    <t xml:space="preserve">Вывоз мусора</t>
  </si>
  <si>
    <t>Комиссии</t>
  </si>
  <si>
    <t xml:space="preserve">Комиссия за покупку</t>
  </si>
  <si>
    <t xml:space="preserve">Комиссия за привлечение соинвесторов</t>
  </si>
  <si>
    <t xml:space="preserve">Комиссия риэлторам, отдел продаж, маркетинг</t>
  </si>
  <si>
    <t xml:space="preserve">Налоги и компенсация титульного собственника</t>
  </si>
  <si>
    <t xml:space="preserve">Проценты по займам</t>
  </si>
  <si>
    <t xml:space="preserve">Непредвиденные расходы</t>
  </si>
  <si>
    <t xml:space="preserve">Чистая прибыль проекта</t>
  </si>
  <si>
    <t>Приходы</t>
  </si>
  <si>
    <t xml:space="preserve">Номеров с титульного собственника - шт.</t>
  </si>
  <si>
    <t xml:space="preserve">Номеров с титульного собственника - руб.</t>
  </si>
  <si>
    <t xml:space="preserve">Номеров соинвесторам - руб.</t>
  </si>
  <si>
    <t xml:space="preserve">Кафе - руб.</t>
  </si>
  <si>
    <t>Итого</t>
  </si>
  <si>
    <t>Расходы</t>
  </si>
  <si>
    <t xml:space="preserve">Комиссии и налоги</t>
  </si>
  <si>
    <t xml:space="preserve">Документальное сопровождение</t>
  </si>
  <si>
    <t>Проценты</t>
  </si>
  <si>
    <t>Финансы</t>
  </si>
  <si>
    <t xml:space="preserve">Средства учредителей</t>
  </si>
  <si>
    <t xml:space="preserve">Получение / Возврат займов</t>
  </si>
  <si>
    <t xml:space="preserve">Остаток займов на конец периода</t>
  </si>
  <si>
    <t xml:space="preserve">Остаток в кассе на конец периода</t>
  </si>
  <si>
    <t xml:space="preserve">Срок продажи</t>
  </si>
  <si>
    <t xml:space="preserve">Средний срок продажи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</si>
</sst>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_-* #,##0\ [$₽-19]_-;\-* #,##0\ [$₽-19]_-;_-* &quot;-&quot;\ [$₽-19]_-;_-@_-"/>
    <numFmt numFmtId="161" formatCode="_-* #,##0.00\ [$₽-19]_-;\-* #,##0.00\ [$₽-19]_-;_-* &quot;-&quot;??\ [$₽-19]_-;_-@_-"/>
    <numFmt numFmtId="162" formatCode="[$-19]mmm-yy;@"/>
  </numFmts>
  <fonts count="6">
    <font>
      <sz val="10.000000"/>
      <color theme="1"/>
      <name val="Liberation Sans"/>
    </font>
    <font>
      <b/>
      <sz val="15.000000"/>
      <color theme="3"/>
      <name val="Calibri"/>
      <scheme val="minor"/>
    </font>
    <font>
      <b/>
      <sz val="18.000000"/>
      <color theme="3"/>
      <name val="Calibri Light"/>
      <scheme val="major"/>
    </font>
    <font>
      <b/>
      <sz val="11.000000"/>
      <color theme="3"/>
      <name val="Calibri"/>
      <scheme val="minor"/>
    </font>
    <font>
      <sz val="11.000000"/>
      <color theme="1"/>
      <name val="Calibri"/>
      <scheme val="minor"/>
    </font>
    <font>
      <b/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ck">
        <color theme="4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</borders>
  <cellStyleXfs count="9">
    <xf fontId="0" fillId="0" borderId="0" numFmtId="0" applyNumberFormat="1" applyFont="1" applyFill="1" applyBorder="1"/>
    <xf fontId="1" fillId="2" borderId="1" numFmtId="0" applyNumberFormat="0" applyFont="1" applyFill="0" applyBorder="1"/>
    <xf fontId="2" fillId="2" borderId="0" numFmtId="0" applyNumberFormat="0" applyFont="1" applyFill="0" applyBorder="0"/>
    <xf fontId="3" fillId="2" borderId="0" numFmtId="0" applyNumberFormat="0" applyFont="1" applyFill="0" applyBorder="0"/>
    <xf fontId="4" fillId="2" borderId="0" numFmtId="42" applyNumberFormat="1" applyFont="0" applyFill="0" applyBorder="0"/>
    <xf fontId="4" fillId="2" borderId="0" numFmtId="44" applyNumberFormat="1" applyFont="0" applyFill="0" applyBorder="0"/>
    <xf fontId="4" fillId="2" borderId="0" numFmtId="9" applyNumberFormat="1" applyFont="0" applyFill="0" applyBorder="0"/>
    <xf fontId="4" fillId="2" borderId="0" numFmtId="41" applyNumberFormat="1" applyFont="0" applyFill="0" applyBorder="0"/>
    <xf fontId="5" fillId="2" borderId="2" numFmtId="0" applyNumberFormat="0" applyFont="1" applyFill="0" applyBorder="1"/>
  </cellStyleXfs>
  <cellXfs count="15">
    <xf fontId="0" fillId="0" borderId="0" numFmtId="0" xfId="0"/>
    <xf fontId="2" fillId="0" borderId="1" numFmtId="0" xfId="2" applyFont="1" applyBorder="1"/>
    <xf fontId="3" fillId="0" borderId="0" numFmtId="0" xfId="3" applyFont="1"/>
    <xf fontId="1" fillId="0" borderId="1" numFmtId="0" xfId="1" applyFont="1" applyBorder="1"/>
    <xf fontId="1" fillId="0" borderId="1" numFmtId="160" xfId="1" applyNumberFormat="1" applyFont="1" applyBorder="1"/>
    <xf fontId="0" fillId="0" borderId="0" numFmtId="160" xfId="4" applyNumberFormat="1"/>
    <xf fontId="0" fillId="0" borderId="0" numFmtId="0" xfId="0"/>
    <xf fontId="3" fillId="0" borderId="0" numFmtId="160" xfId="3" applyNumberFormat="1" applyFont="1"/>
    <xf fontId="0" fillId="0" borderId="0" numFmtId="161" xfId="5" applyNumberFormat="1"/>
    <xf fontId="0" fillId="0" borderId="0" numFmtId="9" xfId="6" applyNumberFormat="1"/>
    <xf fontId="3" fillId="0" borderId="0" numFmtId="9" xfId="3" applyNumberFormat="1" applyFont="1"/>
    <xf fontId="3" fillId="0" borderId="0" numFmtId="162" xfId="3" applyNumberFormat="1" applyFont="1"/>
    <xf fontId="5" fillId="0" borderId="2" numFmtId="0" xfId="8" applyFont="1" applyBorder="1"/>
    <xf fontId="5" fillId="0" borderId="2" numFmtId="160" xfId="8" applyNumberFormat="1" applyFont="1" applyBorder="1"/>
    <xf fontId="1" fillId="0" borderId="0" numFmtId="0" xfId="1" applyFont="1"/>
  </cellXfs>
  <cellStyles count="9">
    <cellStyle name="Обычный" xfId="0" builtinId="0"/>
    <cellStyle name="Heading 1" xfId="1" builtinId="16"/>
    <cellStyle name="Title" xfId="2" builtinId="15"/>
    <cellStyle name="Heading 4" xfId="3" builtinId="19"/>
    <cellStyle name="Currency [0]" xfId="4" builtinId="7"/>
    <cellStyle name="Currency" xfId="5" builtinId="4"/>
    <cellStyle name="Percent" xfId="6" builtinId="5"/>
    <cellStyle name="Comma [0]" xfId="7" builtinId="6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9" zoomScale="100" workbookViewId="0">
      <selection activeCell="D22" activeCellId="0" sqref="D22"/>
    </sheetView>
  </sheetViews>
  <sheetFormatPr baseColWidth="10" defaultColWidth="10.5" defaultRowHeight="12.6"/>
  <cols>
    <col customWidth="1" min="1" max="1" width="4.7109375"/>
    <col customWidth="1" min="2" max="2" width="5.421875"/>
    <col customWidth="1" min="3" max="3" width="57.421875"/>
    <col customWidth="1" min="4" max="4" width="13.28125"/>
    <col customWidth="1" min="5" max="5" width="13.8515625"/>
    <col customWidth="1" min="6" max="6" width="22.28125"/>
  </cols>
  <sheetData>
    <row r="1" ht="23.399999999999999">
      <c r="A1" s="1" t="s">
        <v>0</v>
      </c>
    </row>
    <row r="2" ht="14.4">
      <c r="D2" s="2" t="s">
        <v>1</v>
      </c>
      <c r="E2" s="2" t="s">
        <v>2</v>
      </c>
      <c r="F2" s="2" t="s">
        <v>3</v>
      </c>
    </row>
    <row r="3" ht="19.199999999999999">
      <c r="A3" s="3" t="s">
        <v>4</v>
      </c>
      <c r="B3" s="3"/>
      <c r="C3" s="3"/>
      <c r="D3" s="3"/>
      <c r="E3" s="3"/>
      <c r="F3" s="4">
        <f>SUM(F4:F6)</f>
        <v>188000000</v>
      </c>
    </row>
    <row r="4" ht="19.5">
      <c r="B4" t="s">
        <v>5</v>
      </c>
      <c r="F4" s="5">
        <v>144000000</v>
      </c>
    </row>
    <row r="5" ht="19.5">
      <c r="B5" t="s">
        <v>6</v>
      </c>
      <c r="F5" s="5">
        <v>40000000</v>
      </c>
    </row>
    <row r="6" ht="19.5">
      <c r="B6" t="s">
        <v>7</v>
      </c>
      <c r="F6" s="5">
        <v>4000000</v>
      </c>
    </row>
    <row r="7" ht="19.5">
      <c r="B7" s="6"/>
      <c r="C7" s="6"/>
      <c r="D7" s="6"/>
      <c r="E7" s="6"/>
      <c r="F7" s="5"/>
    </row>
    <row r="8" ht="19.199999999999999">
      <c r="A8" s="3" t="s">
        <v>8</v>
      </c>
      <c r="B8" s="3"/>
      <c r="C8" s="3"/>
      <c r="D8" s="3"/>
      <c r="E8" s="3"/>
      <c r="F8" s="4">
        <f>F9+F10+F11+F36+F35+F30+F34</f>
        <v>-149505000</v>
      </c>
    </row>
    <row r="9" ht="14.4">
      <c r="B9" s="2" t="s">
        <v>9</v>
      </c>
      <c r="C9" s="2"/>
      <c r="D9" s="2"/>
      <c r="E9" s="2"/>
      <c r="F9" s="7">
        <v>-65000000</v>
      </c>
    </row>
    <row r="10" ht="14.4">
      <c r="B10" s="2" t="s">
        <v>10</v>
      </c>
      <c r="C10" s="2"/>
      <c r="D10" s="2"/>
      <c r="E10" s="2"/>
      <c r="F10" s="7">
        <v>-2500000</v>
      </c>
    </row>
    <row r="11" ht="14.4">
      <c r="B11" s="2" t="s">
        <v>11</v>
      </c>
      <c r="C11" s="2"/>
      <c r="D11" s="2"/>
      <c r="E11" s="2"/>
      <c r="F11" s="7">
        <f>SUM(F12:F29)</f>
        <v>-48950000</v>
      </c>
    </row>
    <row r="12" ht="14.4">
      <c r="B12" s="2"/>
      <c r="C12" t="s">
        <v>12</v>
      </c>
      <c r="F12" s="5">
        <f>-42000000*0.07</f>
        <v>-2940000.0000000005</v>
      </c>
    </row>
    <row r="13" ht="16.5">
      <c r="C13" t="s">
        <v>13</v>
      </c>
      <c r="F13" s="5">
        <v>-6000000</v>
      </c>
    </row>
    <row r="14" ht="16.5">
      <c r="C14" t="s">
        <v>14</v>
      </c>
      <c r="F14" s="5">
        <v>-300000</v>
      </c>
    </row>
    <row r="15" ht="16.5">
      <c r="C15" t="s">
        <v>15</v>
      </c>
      <c r="F15" s="5">
        <v>-1500000</v>
      </c>
    </row>
    <row r="16" ht="16.5">
      <c r="C16" t="s">
        <v>16</v>
      </c>
      <c r="F16" s="5">
        <v>-3500000</v>
      </c>
    </row>
    <row r="17" ht="16.5">
      <c r="C17" t="s">
        <v>17</v>
      </c>
      <c r="F17" s="5">
        <v>-1500000</v>
      </c>
    </row>
    <row r="18" ht="16.5">
      <c r="C18" t="s">
        <v>18</v>
      </c>
      <c r="F18" s="5">
        <v>-400000</v>
      </c>
    </row>
    <row r="19" ht="16.5">
      <c r="C19" t="s">
        <v>19</v>
      </c>
      <c r="D19">
        <v>36</v>
      </c>
      <c r="E19" s="8">
        <v>-30000</v>
      </c>
      <c r="F19" s="5">
        <f t="shared" ref="F19:F27" si="0">E19*D19</f>
        <v>-1080000</v>
      </c>
    </row>
    <row r="20" ht="16.5">
      <c r="C20" t="s">
        <v>20</v>
      </c>
      <c r="D20">
        <v>36</v>
      </c>
      <c r="E20" s="8">
        <v>-30000</v>
      </c>
      <c r="F20" s="5">
        <f t="shared" si="0"/>
        <v>-1080000</v>
      </c>
    </row>
    <row r="21" ht="16.5">
      <c r="C21" t="s">
        <v>21</v>
      </c>
      <c r="E21" s="8"/>
      <c r="F21" s="5">
        <v>-350000</v>
      </c>
    </row>
    <row r="22" ht="16.5">
      <c r="C22" t="s">
        <v>22</v>
      </c>
      <c r="E22" s="8"/>
      <c r="F22" s="5">
        <v>-3000000</v>
      </c>
    </row>
    <row r="23" ht="16.5">
      <c r="C23" t="s">
        <v>23</v>
      </c>
      <c r="D23">
        <v>36</v>
      </c>
      <c r="E23" s="8">
        <v>-35000</v>
      </c>
      <c r="F23" s="5">
        <f t="shared" si="0"/>
        <v>-1260000</v>
      </c>
    </row>
    <row r="24" ht="16.5">
      <c r="C24" t="s">
        <v>24</v>
      </c>
      <c r="D24">
        <v>36</v>
      </c>
      <c r="E24" s="8">
        <v>-300000</v>
      </c>
      <c r="F24" s="5">
        <f t="shared" si="0"/>
        <v>-10800000</v>
      </c>
    </row>
    <row r="25" ht="16.5">
      <c r="C25" t="s">
        <v>25</v>
      </c>
      <c r="E25" s="8"/>
      <c r="F25" s="5">
        <v>-1500000</v>
      </c>
    </row>
    <row r="26" ht="16.5">
      <c r="C26" t="s">
        <v>26</v>
      </c>
      <c r="D26">
        <v>4</v>
      </c>
      <c r="E26" s="8">
        <v>-50000</v>
      </c>
      <c r="F26" s="5">
        <f t="shared" si="0"/>
        <v>-200000</v>
      </c>
    </row>
    <row r="27" ht="16.5">
      <c r="C27" t="s">
        <v>27</v>
      </c>
      <c r="D27">
        <v>36</v>
      </c>
      <c r="E27" s="8">
        <v>-340000</v>
      </c>
      <c r="F27" s="5">
        <f t="shared" si="0"/>
        <v>-12240000</v>
      </c>
    </row>
    <row r="28" ht="16.5">
      <c r="C28" t="s">
        <v>28</v>
      </c>
      <c r="F28" s="5">
        <v>-300000</v>
      </c>
    </row>
    <row r="29" ht="16.5">
      <c r="C29" t="s">
        <v>29</v>
      </c>
      <c r="F29" s="5">
        <v>-1000000</v>
      </c>
    </row>
    <row r="30" ht="14.4">
      <c r="B30" s="2" t="s">
        <v>30</v>
      </c>
      <c r="C30" s="2"/>
      <c r="D30" s="2"/>
      <c r="E30" s="2"/>
      <c r="F30" s="7">
        <f>SUM(F31:F33)</f>
        <v>-20140000</v>
      </c>
    </row>
    <row r="31" ht="16.5">
      <c r="C31" t="s">
        <v>31</v>
      </c>
      <c r="F31" s="5">
        <f>-42000000*0.07</f>
        <v>-2940000.0000000005</v>
      </c>
    </row>
    <row r="32" ht="12.75">
      <c r="C32" t="s">
        <v>32</v>
      </c>
      <c r="E32" s="9">
        <v>0.059999999999999998</v>
      </c>
      <c r="F32" s="5">
        <f>-E32*F5</f>
        <v>-2400000</v>
      </c>
    </row>
    <row r="33" ht="16.5">
      <c r="C33" t="s">
        <v>33</v>
      </c>
      <c r="E33" s="9">
        <v>0.10000000000000001</v>
      </c>
      <c r="F33" s="5">
        <f>-(F4+F6)*E33</f>
        <v>-14800000</v>
      </c>
    </row>
    <row r="34" ht="14.4">
      <c r="B34" s="2" t="s">
        <v>34</v>
      </c>
      <c r="C34" s="2"/>
      <c r="D34" s="2"/>
      <c r="E34" s="10">
        <v>0.040000000000000001</v>
      </c>
      <c r="F34" s="7">
        <f>-(F4+F6)*E34</f>
        <v>-5920000</v>
      </c>
    </row>
    <row r="35" ht="14.4">
      <c r="B35" s="2" t="s">
        <v>35</v>
      </c>
      <c r="C35" s="2"/>
      <c r="D35" s="2"/>
      <c r="E35" s="2"/>
      <c r="F35" s="7">
        <f>SUM('Помесячное ДДС'!D14:J14)</f>
        <v>-2100000</v>
      </c>
    </row>
    <row r="36" ht="14.4">
      <c r="B36" s="2" t="s">
        <v>36</v>
      </c>
      <c r="C36" s="2"/>
      <c r="D36" s="2"/>
      <c r="E36" s="2"/>
      <c r="F36" s="7">
        <f>10%*F11</f>
        <v>-4895000</v>
      </c>
    </row>
    <row r="37" ht="14.4">
      <c r="B37" s="2"/>
      <c r="C37" s="2"/>
      <c r="D37" s="2"/>
      <c r="E37" s="2"/>
      <c r="F37" s="7"/>
    </row>
    <row r="38" ht="19.199999999999999">
      <c r="A38" s="3" t="s">
        <v>37</v>
      </c>
      <c r="B38" s="3"/>
      <c r="C38" s="3"/>
      <c r="D38" s="3"/>
      <c r="E38" s="3"/>
      <c r="F38" s="4">
        <f>F3+F8</f>
        <v>38495000</v>
      </c>
    </row>
    <row r="39" ht="12.75"/>
    <row r="40" ht="12.75"/>
    <row r="41" ht="12.75"/>
    <row r="42" ht="12.75"/>
    <row r="43" ht="12.75"/>
    <row r="44" ht="12.75"/>
  </sheetData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D10" zoomScale="100" workbookViewId="0">
      <selection activeCell="A1" activeCellId="0" sqref="A1"/>
    </sheetView>
  </sheetViews>
  <sheetFormatPr defaultRowHeight="12.75"/>
  <cols>
    <col customWidth="1" min="1" max="1" width="4.00390625"/>
    <col customWidth="1" min="2" max="2" width="40.7109375"/>
    <col bestFit="1" customWidth="1" min="3" max="3" width="16.57421875"/>
    <col bestFit="1" min="4" max="4" width="15.28125"/>
    <col bestFit="1" min="5" max="5" width="15.421875"/>
    <col customWidth="1" min="6" max="6" width="15.8515625"/>
    <col customWidth="1" min="7" max="7" width="15.00390625"/>
    <col customWidth="1" min="8" max="8" width="13.8515625"/>
    <col customWidth="1" min="9" max="9" width="13.421875"/>
    <col customWidth="1" min="10" max="10" width="13.57421875"/>
  </cols>
  <sheetData>
    <row r="1" s="0" customFormat="1" ht="14.25">
      <c r="C1" s="11">
        <v>45261</v>
      </c>
      <c r="D1" s="11">
        <v>45292</v>
      </c>
      <c r="E1" s="11">
        <v>45323</v>
      </c>
      <c r="F1" s="11">
        <v>45352</v>
      </c>
      <c r="G1" s="11">
        <v>45383</v>
      </c>
      <c r="H1" s="11">
        <v>45413</v>
      </c>
      <c r="I1" s="11">
        <v>45444</v>
      </c>
      <c r="J1" s="11">
        <v>45474</v>
      </c>
    </row>
    <row r="2" s="0" customFormat="1" ht="20.25">
      <c r="A2" s="3" t="s">
        <v>38</v>
      </c>
      <c r="B2" s="3"/>
      <c r="C2" s="3"/>
      <c r="D2" s="3"/>
      <c r="E2" s="3"/>
      <c r="F2" s="3"/>
      <c r="G2" s="3"/>
      <c r="H2" s="3"/>
      <c r="I2" s="3"/>
      <c r="J2" s="3"/>
    </row>
    <row r="3" s="0" customFormat="1" ht="12.75">
      <c r="B3" t="s">
        <v>39</v>
      </c>
      <c r="D3">
        <v>3</v>
      </c>
      <c r="E3">
        <v>7</v>
      </c>
      <c r="F3">
        <v>7</v>
      </c>
      <c r="G3">
        <v>4</v>
      </c>
      <c r="H3">
        <v>3</v>
      </c>
      <c r="I3">
        <v>2</v>
      </c>
      <c r="J3">
        <v>2</v>
      </c>
    </row>
    <row r="4" s="0" customFormat="1" ht="12.75">
      <c r="B4" t="s">
        <v>40</v>
      </c>
      <c r="C4" s="5"/>
      <c r="D4" s="5">
        <f>185/36*D3*1000000</f>
        <v>15416666.666666668</v>
      </c>
      <c r="E4" s="5">
        <f>185/36*E3*1000000</f>
        <v>35972222.222222231</v>
      </c>
      <c r="F4" s="5">
        <f>185/36*F3*1000000</f>
        <v>35972222.222222231</v>
      </c>
      <c r="G4" s="5">
        <f>185/36*G3*1000000</f>
        <v>20555555.555555556</v>
      </c>
      <c r="H4" s="5">
        <f>185/36*H3*1000000</f>
        <v>15416666.666666668</v>
      </c>
      <c r="I4" s="5">
        <f>185/36*I3*1000000</f>
        <v>10277777.777777778</v>
      </c>
      <c r="J4" s="5">
        <f>185/36*J3*1000000</f>
        <v>10277777.777777778</v>
      </c>
    </row>
    <row r="5" s="0" customFormat="1" ht="12.75">
      <c r="B5" t="s">
        <v>41</v>
      </c>
      <c r="C5" s="5">
        <v>43000000</v>
      </c>
      <c r="D5" s="5"/>
      <c r="E5" s="5"/>
      <c r="F5" s="5"/>
      <c r="G5" s="5"/>
      <c r="H5" s="5"/>
      <c r="I5" s="5"/>
      <c r="J5" s="5"/>
    </row>
    <row r="6" s="0" customFormat="1" ht="12.75">
      <c r="B6" s="6" t="s">
        <v>42</v>
      </c>
      <c r="C6" s="5"/>
      <c r="D6" s="5">
        <f>'ТЭПы'!F6</f>
        <v>4000000</v>
      </c>
      <c r="E6" s="5"/>
      <c r="F6" s="5"/>
      <c r="G6" s="5"/>
      <c r="H6" s="5"/>
      <c r="I6" s="5"/>
      <c r="J6" s="5"/>
    </row>
    <row r="7" s="0" customFormat="1" ht="14.25">
      <c r="B7" s="12" t="s">
        <v>43</v>
      </c>
      <c r="C7" s="13">
        <f>SUM(C4:C6)</f>
        <v>43000000</v>
      </c>
      <c r="D7" s="13">
        <f>SUM(D4:D6)</f>
        <v>19416666.666666668</v>
      </c>
      <c r="E7" s="13">
        <f>SUM(E4:E6)</f>
        <v>35972222.222222231</v>
      </c>
      <c r="F7" s="13">
        <f>SUM(F4:F6)</f>
        <v>35972222.222222231</v>
      </c>
      <c r="G7" s="13">
        <f>SUM(G4:G6)</f>
        <v>20555555.555555556</v>
      </c>
      <c r="H7" s="13">
        <f>SUM(H4:H6)</f>
        <v>15416666.666666668</v>
      </c>
      <c r="I7" s="13">
        <f>SUM(I4:I6)</f>
        <v>10277777.777777778</v>
      </c>
      <c r="J7" s="13">
        <f>SUM(J4:J6)</f>
        <v>10277777.777777778</v>
      </c>
    </row>
    <row r="8" s="0" customFormat="1" ht="12.75">
      <c r="C8" s="5"/>
      <c r="D8" s="5"/>
      <c r="E8" s="5"/>
      <c r="F8" s="5"/>
      <c r="G8" s="5"/>
      <c r="H8" s="5"/>
      <c r="I8" s="5"/>
      <c r="J8" s="5"/>
    </row>
    <row r="9" s="0" customFormat="1" ht="20.25">
      <c r="A9" s="3" t="s">
        <v>44</v>
      </c>
      <c r="B9" s="3"/>
      <c r="C9" s="4"/>
      <c r="D9" s="4"/>
      <c r="E9" s="4"/>
      <c r="F9" s="4"/>
      <c r="G9" s="4"/>
      <c r="H9" s="4"/>
      <c r="I9" s="4"/>
      <c r="J9" s="4"/>
    </row>
    <row r="10" s="0" customFormat="1" ht="12.75">
      <c r="B10" t="s">
        <v>9</v>
      </c>
      <c r="C10" s="5">
        <f>'ТЭПы'!F9</f>
        <v>-65000000</v>
      </c>
      <c r="D10" s="5"/>
      <c r="E10" s="5"/>
      <c r="F10" s="5"/>
      <c r="G10" s="5"/>
      <c r="H10" s="5"/>
      <c r="I10" s="5"/>
      <c r="J10" s="5"/>
    </row>
    <row r="11" s="0" customFormat="1" ht="12.75">
      <c r="B11" t="s">
        <v>11</v>
      </c>
      <c r="C11" s="5"/>
      <c r="D11" s="5">
        <f>('ТЭПы'!$F$11+'ТЭПы'!$F$36)/5</f>
        <v>-10769000</v>
      </c>
      <c r="E11" s="5">
        <f>('ТЭПы'!$F$11+'ТЭПы'!$F$36)/5</f>
        <v>-10769000</v>
      </c>
      <c r="F11" s="5">
        <f>('ТЭПы'!$F$11+'ТЭПы'!$F$36)/5</f>
        <v>-10769000</v>
      </c>
      <c r="G11" s="5">
        <f>('ТЭПы'!$F$11+'ТЭПы'!$F$36)/5</f>
        <v>-10769000</v>
      </c>
      <c r="H11" s="5">
        <f>('ТЭПы'!$F$11+'ТЭПы'!$F$36)/5</f>
        <v>-10769000</v>
      </c>
      <c r="I11" s="5"/>
      <c r="J11" s="5"/>
    </row>
    <row r="12" s="0" customFormat="1" ht="12.75">
      <c r="B12" t="s">
        <v>45</v>
      </c>
      <c r="C12" s="5">
        <f>'ТЭПы'!F31+'ТЭПы'!F32</f>
        <v>-5340000</v>
      </c>
      <c r="D12" s="5">
        <f>-('ТЭПы'!$E$33+'ТЭПы'!$E$34)*D7</f>
        <v>-2718333.333333334</v>
      </c>
      <c r="E12" s="5">
        <f>-('ТЭПы'!$E$33+'ТЭПы'!$E$34)*E7</f>
        <v>-5036111.1111111129</v>
      </c>
      <c r="F12" s="5">
        <f>-('ТЭПы'!$E$33+'ТЭПы'!$E$34)*F7</f>
        <v>-5036111.1111111129</v>
      </c>
      <c r="G12" s="5">
        <f>-('ТЭПы'!$E$33+'ТЭПы'!$E$34)*G7</f>
        <v>-2877777.777777778</v>
      </c>
      <c r="H12" s="5">
        <f>-('ТЭПы'!$E$33+'ТЭПы'!$E$34)*H7</f>
        <v>-2158333.3333333335</v>
      </c>
      <c r="I12" s="5">
        <f>-('ТЭПы'!$E$33+'ТЭПы'!$E$34)*I7</f>
        <v>-1438888.888888889</v>
      </c>
      <c r="J12" s="5">
        <f>-('ТЭПы'!$E$33+'ТЭПы'!$E$34)*J7</f>
        <v>-1438888.888888889</v>
      </c>
    </row>
    <row r="13" s="0" customFormat="1" ht="12.75">
      <c r="B13" t="s">
        <v>46</v>
      </c>
      <c r="C13" s="5">
        <f>'ТЭПы'!F10</f>
        <v>-2500000</v>
      </c>
      <c r="D13" s="5"/>
      <c r="E13" s="5"/>
      <c r="F13" s="5"/>
      <c r="G13" s="5"/>
      <c r="H13" s="5"/>
      <c r="I13" s="5"/>
      <c r="J13" s="5"/>
    </row>
    <row r="14" ht="12.75">
      <c r="B14" t="s">
        <v>47</v>
      </c>
      <c r="C14" s="5"/>
      <c r="D14" s="5">
        <f>-2%*MAX(C20,0)</f>
        <v>-600000</v>
      </c>
      <c r="E14" s="5">
        <f>-2%*MAX(D20,0)</f>
        <v>-500000</v>
      </c>
      <c r="F14" s="5">
        <f>-2%*MAX(E20,0)</f>
        <v>-400000</v>
      </c>
      <c r="G14" s="5">
        <f>-2%*MAX(F20,0)</f>
        <v>-300000</v>
      </c>
      <c r="H14" s="5">
        <f>-2%*MAX(G20,0)</f>
        <v>-200000</v>
      </c>
      <c r="I14" s="5">
        <f>-2%*MAX(H20,0)</f>
        <v>-100000</v>
      </c>
      <c r="J14" s="5">
        <f>-2%*MAX(I20,0)</f>
        <v>0</v>
      </c>
    </row>
    <row r="15" s="0" customFormat="1" ht="14.25">
      <c r="A15" s="6"/>
      <c r="B15" s="12" t="s">
        <v>43</v>
      </c>
      <c r="C15" s="13">
        <f>SUM(C10:C14)</f>
        <v>-72840000</v>
      </c>
      <c r="D15" s="13">
        <f>SUM(D10:D14)</f>
        <v>-14087333.333333334</v>
      </c>
      <c r="E15" s="13">
        <f>SUM(E10:E14)</f>
        <v>-16305111.111111112</v>
      </c>
      <c r="F15" s="13">
        <f>SUM(F10:F14)</f>
        <v>-16205111.111111112</v>
      </c>
      <c r="G15" s="13">
        <f>SUM(G10:G14)</f>
        <v>-13946777.777777778</v>
      </c>
      <c r="H15" s="13">
        <f>SUM(H10:H14)</f>
        <v>-13127333.333333334</v>
      </c>
      <c r="I15" s="13">
        <f>SUM(I10:I14)</f>
        <v>-1538888.888888889</v>
      </c>
      <c r="J15" s="13">
        <f>SUM(J10:J14)</f>
        <v>-1438888.888888889</v>
      </c>
    </row>
    <row r="16" s="0" customFormat="1" ht="12.75">
      <c r="C16" s="5"/>
      <c r="D16" s="5"/>
      <c r="E16" s="5"/>
      <c r="F16" s="5"/>
      <c r="G16" s="5"/>
      <c r="H16" s="5"/>
      <c r="I16" s="5"/>
      <c r="J16" s="5"/>
    </row>
    <row r="17" s="0" customFormat="1" ht="20.25">
      <c r="A17" s="3" t="s">
        <v>48</v>
      </c>
      <c r="B17" s="3"/>
      <c r="C17" s="4"/>
      <c r="D17" s="4"/>
      <c r="E17" s="4"/>
      <c r="F17" s="4"/>
      <c r="G17" s="4"/>
      <c r="H17" s="4"/>
      <c r="I17" s="4"/>
      <c r="J17" s="4"/>
    </row>
    <row r="18" s="0" customFormat="1" ht="16.5" customHeight="1">
      <c r="A18" s="14"/>
      <c r="B18" s="6" t="s">
        <v>49</v>
      </c>
      <c r="C18" s="5">
        <v>7000000</v>
      </c>
      <c r="D18" s="5"/>
      <c r="E18" s="5"/>
      <c r="F18" s="5"/>
      <c r="G18" s="5"/>
      <c r="H18" s="5"/>
      <c r="I18" s="5"/>
      <c r="J18" s="5"/>
    </row>
    <row r="19" s="0" customFormat="1" ht="12.75">
      <c r="B19" s="6" t="s">
        <v>50</v>
      </c>
      <c r="C19" s="5">
        <v>30000000</v>
      </c>
      <c r="D19" s="5">
        <v>-5000000</v>
      </c>
      <c r="E19" s="5">
        <v>-5000000</v>
      </c>
      <c r="F19" s="5">
        <v>-5000000</v>
      </c>
      <c r="G19" s="5">
        <v>-5000000</v>
      </c>
      <c r="H19" s="5">
        <v>-5000000</v>
      </c>
      <c r="I19" s="5">
        <v>-5000000</v>
      </c>
      <c r="J19" s="5"/>
    </row>
    <row r="20" s="0" customFormat="1" ht="12.75">
      <c r="B20" t="s">
        <v>51</v>
      </c>
      <c r="C20" s="5">
        <f>C19</f>
        <v>30000000</v>
      </c>
      <c r="D20" s="5">
        <f>C20+D19</f>
        <v>25000000</v>
      </c>
      <c r="E20" s="5">
        <f>D20+E19</f>
        <v>20000000</v>
      </c>
      <c r="F20" s="5">
        <f>E20+F19</f>
        <v>15000000</v>
      </c>
      <c r="G20" s="5">
        <f>F20+G19</f>
        <v>10000000</v>
      </c>
      <c r="H20" s="5">
        <f>G20+H19</f>
        <v>5000000</v>
      </c>
      <c r="I20" s="5">
        <f>H20+I19</f>
        <v>0</v>
      </c>
      <c r="J20" s="5">
        <f>I20+J19</f>
        <v>0</v>
      </c>
    </row>
    <row r="21" s="0" customFormat="1" ht="14.25">
      <c r="B21" s="12" t="s">
        <v>52</v>
      </c>
      <c r="C21" s="13">
        <f>C7+C15+C18+C19</f>
        <v>7160000</v>
      </c>
      <c r="D21" s="13">
        <f>C21+D7+D15+D18+D19</f>
        <v>7489333.333333334</v>
      </c>
      <c r="E21" s="13">
        <f>D21+E7+E15+E18+E19</f>
        <v>22156444.444444455</v>
      </c>
      <c r="F21" s="13">
        <f>E21+F7+F15+F18+F19</f>
        <v>36923555.555555575</v>
      </c>
      <c r="G21" s="13">
        <f>F21+G7+G15+G18+G19</f>
        <v>38532333.333333358</v>
      </c>
      <c r="H21" s="13">
        <f>G21+H7+H15+H18+H19</f>
        <v>35821666.666666694</v>
      </c>
      <c r="I21" s="13">
        <f>H21+I7+I15+I18+I19</f>
        <v>39560555.555555582</v>
      </c>
      <c r="J21" s="13">
        <f>I21+J7+J15+J18+J19</f>
        <v>48399444.44444447</v>
      </c>
    </row>
    <row r="22" s="0" customFormat="1" ht="12.75"/>
    <row r="23" s="0" customFormat="1" ht="12.75"/>
    <row r="24" s="0" customFormat="1" ht="12.75" hidden="1">
      <c r="A24" t="s">
        <v>53</v>
      </c>
      <c r="D24">
        <v>1</v>
      </c>
      <c r="E24">
        <v>2</v>
      </c>
      <c r="F24">
        <v>3</v>
      </c>
      <c r="G24">
        <v>4</v>
      </c>
      <c r="H24">
        <v>5</v>
      </c>
      <c r="I24">
        <v>6</v>
      </c>
      <c r="J24">
        <v>7</v>
      </c>
    </row>
    <row r="25" s="0" customFormat="1" ht="12.75">
      <c r="A25" t="s">
        <v>54</v>
      </c>
      <c r="C25">
        <f>SUMPRODUCT(D3:J3,D24:J24)/SUM(D3:J3)</f>
        <v>3.3928571428571428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R7-Office/7.4.0.112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lastModifiedBy>Борис Добрый</cp:lastModifiedBy>
  <cp:revision>23</cp:revision>
  <dcterms:created xsi:type="dcterms:W3CDTF">2023-08-25T14:01:22Z</dcterms:created>
  <dcterms:modified xsi:type="dcterms:W3CDTF">2023-12-15T10:08:35Z</dcterms:modified>
</cp:coreProperties>
</file>